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<sst xmlns="http://schemas.openxmlformats.org/spreadsheetml/2006/main" count="123" uniqueCount="70">
  <si>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Информация о запланированом проведении планово-профилактического текущего ремонта</t>
  </si>
  <si>
    <t xml:space="preserve"> МКД по ООО УК "Заволжское" в 2013 году</t>
  </si>
  <si>
    <t>№ п/п</t>
  </si>
  <si>
    <t>Адрес</t>
  </si>
  <si>
    <t>ВСЕГО</t>
  </si>
  <si>
    <t>Приложение №7</t>
  </si>
  <si>
    <t>Инженерные сети</t>
  </si>
  <si>
    <t>Ремонт общего имущества дома</t>
  </si>
  <si>
    <t>виды работ</t>
  </si>
  <si>
    <t>Система ЦО</t>
  </si>
  <si>
    <t>ХВС</t>
  </si>
  <si>
    <t>ГВС</t>
  </si>
  <si>
    <t>канализация</t>
  </si>
  <si>
    <t>Кровля ремонт</t>
  </si>
  <si>
    <t>Ремонт фасада</t>
  </si>
  <si>
    <t>ремонт подъездов</t>
  </si>
  <si>
    <t>Благо-устройство</t>
  </si>
  <si>
    <t>ЭО</t>
  </si>
  <si>
    <t>тыс.руб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</si>
  <si>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</si>
  <si>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</si>
  <si>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</si>
  <si>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Опресовка  внутридомовой системы центрального отопления; выборочный ремонт окон, дверей, кровли, отмостков; проверка и прочистка вентканалов; устранение засоров; замена запорной арматуры; выполнение аварийных заявок.</t>
  </si>
  <si>
    <t>Димитрова11</t>
  </si>
  <si>
    <t>Димитрова 13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</si>
  <si>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</si>
  <si>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</si>
  <si>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</si>
  <si>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</si>
  <si>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</si>
  <si>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</si>
  <si>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</si>
  <si>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</si>
  <si>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</si>
  <si>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</si>
  <si>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</si>
  <si>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Опресовка  внутредомовой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</si>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</sst>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7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8.140625" style="0" customWidth="1"/>
    <col min="2" max="2" width="17.7109375" style="0" customWidth="1"/>
    <col min="14" max="14" width="28.8515625" style="0" customWidth="1"/>
  </cols>
  <sheetData>
    <row r="1" spans="1:14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thickBot="1">
      <c r="A3" s="55" t="s">
        <v>2</v>
      </c>
      <c r="B3" s="55" t="s">
        <v>3</v>
      </c>
      <c r="C3" s="55" t="s">
        <v>4</v>
      </c>
      <c r="D3" s="58"/>
      <c r="E3" s="59"/>
      <c r="F3" s="59"/>
      <c r="G3" s="59"/>
      <c r="H3" s="59"/>
      <c r="I3" s="59"/>
      <c r="J3" s="59"/>
      <c r="K3" s="59"/>
      <c r="L3" s="59"/>
      <c r="M3" s="59"/>
      <c r="N3" s="1" t="s">
        <v>5</v>
      </c>
    </row>
    <row r="4" spans="1:14" ht="15.75" thickBot="1">
      <c r="A4" s="56"/>
      <c r="B4" s="56"/>
      <c r="C4" s="56"/>
      <c r="D4" s="60" t="s">
        <v>6</v>
      </c>
      <c r="E4" s="61"/>
      <c r="F4" s="61"/>
      <c r="G4" s="62"/>
      <c r="H4" s="63" t="s">
        <v>7</v>
      </c>
      <c r="I4" s="64"/>
      <c r="J4" s="64"/>
      <c r="K4" s="64"/>
      <c r="L4" s="65"/>
      <c r="M4" s="66" t="s">
        <v>8</v>
      </c>
      <c r="N4" s="67"/>
    </row>
    <row r="5" spans="1:14" ht="15">
      <c r="A5" s="56"/>
      <c r="B5" s="56"/>
      <c r="C5" s="56"/>
      <c r="D5" s="72" t="s">
        <v>9</v>
      </c>
      <c r="E5" s="48" t="s">
        <v>10</v>
      </c>
      <c r="F5" s="50" t="s">
        <v>11</v>
      </c>
      <c r="G5" s="48" t="s">
        <v>12</v>
      </c>
      <c r="H5" s="41" t="s">
        <v>13</v>
      </c>
      <c r="I5" s="41" t="s">
        <v>14</v>
      </c>
      <c r="J5" s="41" t="s">
        <v>15</v>
      </c>
      <c r="K5" s="41" t="s">
        <v>16</v>
      </c>
      <c r="L5" s="41" t="s">
        <v>17</v>
      </c>
      <c r="M5" s="68"/>
      <c r="N5" s="69"/>
    </row>
    <row r="6" spans="1:14" ht="15">
      <c r="A6" s="56"/>
      <c r="B6" s="56"/>
      <c r="C6" s="56"/>
      <c r="D6" s="72"/>
      <c r="E6" s="48"/>
      <c r="F6" s="50"/>
      <c r="G6" s="48"/>
      <c r="H6" s="42"/>
      <c r="I6" s="42"/>
      <c r="J6" s="42"/>
      <c r="K6" s="42"/>
      <c r="L6" s="42"/>
      <c r="M6" s="68"/>
      <c r="N6" s="69"/>
    </row>
    <row r="7" spans="1:14" ht="15.75" thickBot="1">
      <c r="A7" s="56"/>
      <c r="B7" s="56"/>
      <c r="C7" s="57"/>
      <c r="D7" s="73"/>
      <c r="E7" s="49"/>
      <c r="F7" s="51"/>
      <c r="G7" s="52"/>
      <c r="H7" s="43"/>
      <c r="I7" s="43"/>
      <c r="J7" s="43"/>
      <c r="K7" s="43"/>
      <c r="L7" s="43"/>
      <c r="M7" s="68"/>
      <c r="N7" s="69"/>
    </row>
    <row r="8" spans="1:14" ht="15.75" thickBot="1">
      <c r="A8" s="57"/>
      <c r="B8" s="57"/>
      <c r="C8" s="2" t="s">
        <v>18</v>
      </c>
      <c r="D8" s="2" t="s">
        <v>18</v>
      </c>
      <c r="E8" s="3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18</v>
      </c>
      <c r="M8" s="70"/>
      <c r="N8" s="71"/>
    </row>
    <row r="9" spans="1:14" ht="15.75" thickBot="1">
      <c r="A9" s="4">
        <v>1</v>
      </c>
      <c r="B9" s="5">
        <v>2</v>
      </c>
      <c r="C9" s="5">
        <v>3</v>
      </c>
      <c r="D9" s="5">
        <v>4</v>
      </c>
      <c r="E9" s="6">
        <v>5</v>
      </c>
      <c r="F9" s="5">
        <v>7</v>
      </c>
      <c r="G9" s="5">
        <v>9</v>
      </c>
      <c r="H9" s="5">
        <v>10</v>
      </c>
      <c r="I9" s="5">
        <v>11</v>
      </c>
      <c r="J9" s="5">
        <v>13</v>
      </c>
      <c r="K9" s="5">
        <v>14</v>
      </c>
      <c r="L9" s="5">
        <v>16</v>
      </c>
      <c r="M9" s="44">
        <v>17</v>
      </c>
      <c r="N9" s="45"/>
    </row>
    <row r="10" spans="1:14" ht="42.75" customHeight="1" thickBot="1">
      <c r="A10" s="7">
        <v>1</v>
      </c>
      <c r="B10" s="8" t="s">
        <v>19</v>
      </c>
      <c r="C10" s="9">
        <f aca="true" t="shared" si="0" ref="C10:C56">D10+E10+F10+G10+H10+I10+J10+K10+L10</f>
        <v>18.801574999999996</v>
      </c>
      <c r="D10" s="10">
        <f>1.025*5.977</f>
        <v>6.126425</v>
      </c>
      <c r="E10" s="11">
        <f>1.025*1.979</f>
        <v>2.028475</v>
      </c>
      <c r="F10" s="12"/>
      <c r="G10" s="13"/>
      <c r="H10" s="10">
        <f>1.025*4.117</f>
        <v>4.219925</v>
      </c>
      <c r="I10" s="10">
        <f>1.025*4.117</f>
        <v>4.219925</v>
      </c>
      <c r="J10" s="10">
        <f>1.025*0.73</f>
        <v>0.74825</v>
      </c>
      <c r="K10" s="13"/>
      <c r="L10" s="14">
        <f>1.025*1.423</f>
        <v>1.458575</v>
      </c>
      <c r="M10" s="46" t="s">
        <v>20</v>
      </c>
      <c r="N10" s="47"/>
    </row>
    <row r="11" spans="1:14" ht="42.75" customHeight="1" thickBot="1">
      <c r="A11" s="7">
        <v>2</v>
      </c>
      <c r="B11" s="15" t="s">
        <v>21</v>
      </c>
      <c r="C11" s="9">
        <f t="shared" si="0"/>
        <v>10.304324999999997</v>
      </c>
      <c r="D11" s="10">
        <f>1.025*3.102</f>
        <v>3.1795499999999994</v>
      </c>
      <c r="E11" s="11">
        <f>1.025*1.025</f>
        <v>1.050625</v>
      </c>
      <c r="F11" s="16"/>
      <c r="G11" s="10">
        <f>1.025*0.636</f>
        <v>0.6518999999999999</v>
      </c>
      <c r="H11" s="10">
        <f>1.025*1.989</f>
        <v>2.038725</v>
      </c>
      <c r="I11" s="10">
        <f>1.025*2.022</f>
        <v>2.0725499999999997</v>
      </c>
      <c r="J11" s="10">
        <f>1.025*0.347</f>
        <v>0.35567499999999996</v>
      </c>
      <c r="K11" s="17">
        <f>1.025*0.244</f>
        <v>0.2501</v>
      </c>
      <c r="L11" s="14">
        <f>1.025*0.688</f>
        <v>0.7051999999999998</v>
      </c>
      <c r="M11" s="46" t="s">
        <v>22</v>
      </c>
      <c r="N11" s="47"/>
    </row>
    <row r="12" spans="1:14" ht="42.75" customHeight="1" thickBot="1">
      <c r="A12" s="7">
        <v>3</v>
      </c>
      <c r="B12" s="15" t="s">
        <v>23</v>
      </c>
      <c r="C12" s="9">
        <f t="shared" si="0"/>
        <v>23.396649999999994</v>
      </c>
      <c r="D12" s="10">
        <f>1.025*7.621</f>
        <v>7.811525</v>
      </c>
      <c r="E12" s="11">
        <f>1.025*2.14</f>
        <v>2.1935</v>
      </c>
      <c r="F12" s="16"/>
      <c r="G12" s="10">
        <f>1.025*1.346</f>
        <v>1.37965</v>
      </c>
      <c r="H12" s="10">
        <f>1.025*4.643</f>
        <v>4.759074999999999</v>
      </c>
      <c r="I12" s="17">
        <f>1.025*4.674</f>
        <v>4.79085</v>
      </c>
      <c r="J12" s="17">
        <f>1.025*0.574</f>
        <v>0.5883499999999999</v>
      </c>
      <c r="K12" s="18">
        <f>1.025*0.549</f>
        <v>0.562725</v>
      </c>
      <c r="L12" s="14">
        <f>1.025*1.279</f>
        <v>1.3109749999999998</v>
      </c>
      <c r="M12" s="39" t="s">
        <v>20</v>
      </c>
      <c r="N12" s="40"/>
    </row>
    <row r="13" spans="1:14" ht="42.75" customHeight="1" thickBot="1">
      <c r="A13" s="7">
        <v>4</v>
      </c>
      <c r="B13" s="15" t="s">
        <v>24</v>
      </c>
      <c r="C13" s="9">
        <f t="shared" si="0"/>
        <v>10.700999999999997</v>
      </c>
      <c r="D13" s="10">
        <f>1.025*3.273</f>
        <v>3.354825</v>
      </c>
      <c r="E13" s="11">
        <f>1.025*1.049</f>
        <v>1.0752249999999999</v>
      </c>
      <c r="F13" s="16"/>
      <c r="G13" s="10">
        <f>1.025*0.653</f>
        <v>0.669325</v>
      </c>
      <c r="H13" s="10">
        <f>1.025*2.041</f>
        <v>2.0920249999999996</v>
      </c>
      <c r="I13" s="18">
        <f>1.025*2.012</f>
        <v>2.0623</v>
      </c>
      <c r="J13" s="18">
        <f aca="true" t="shared" si="1" ref="J13:J18">1.025*0.365</f>
        <v>0.374125</v>
      </c>
      <c r="K13" s="18">
        <f>1.025*0.249</f>
        <v>0.255225</v>
      </c>
      <c r="L13" s="14">
        <f>1.025*0.798</f>
        <v>0.81795</v>
      </c>
      <c r="M13" s="39" t="s">
        <v>20</v>
      </c>
      <c r="N13" s="40"/>
    </row>
    <row r="14" spans="1:14" ht="42.75" customHeight="1" thickBot="1">
      <c r="A14" s="7">
        <v>5</v>
      </c>
      <c r="B14" s="19" t="s">
        <v>25</v>
      </c>
      <c r="C14" s="9">
        <f t="shared" si="0"/>
        <v>10.804524999999996</v>
      </c>
      <c r="D14" s="10">
        <f>1.025*3.301</f>
        <v>3.3835249999999997</v>
      </c>
      <c r="E14" s="11">
        <f>1.025*1.058</f>
        <v>1.08445</v>
      </c>
      <c r="F14" s="16"/>
      <c r="G14" s="10">
        <f>1.025*0.659</f>
        <v>0.6754749999999999</v>
      </c>
      <c r="H14" s="10">
        <f>1.025*2.059</f>
        <v>2.110475</v>
      </c>
      <c r="I14" s="18">
        <f>1.025*2.182</f>
        <v>2.23655</v>
      </c>
      <c r="J14" s="18">
        <f t="shared" si="1"/>
        <v>0.374125</v>
      </c>
      <c r="K14" s="18">
        <f>1.025*0.197</f>
        <v>0.201925</v>
      </c>
      <c r="L14" s="14">
        <f>1.025*0.72</f>
        <v>0.7379999999999999</v>
      </c>
      <c r="M14" s="39" t="s">
        <v>20</v>
      </c>
      <c r="N14" s="40"/>
    </row>
    <row r="15" spans="1:14" ht="42.75" customHeight="1" thickBot="1">
      <c r="A15" s="7">
        <v>6</v>
      </c>
      <c r="B15" s="19" t="s">
        <v>26</v>
      </c>
      <c r="C15" s="9">
        <f t="shared" si="0"/>
        <v>11.372374999999998</v>
      </c>
      <c r="D15" s="10">
        <f>1.025*3.463</f>
        <v>3.549575</v>
      </c>
      <c r="E15" s="11">
        <f>1.025*1.106</f>
        <v>1.13365</v>
      </c>
      <c r="F15" s="16"/>
      <c r="G15" s="10">
        <f>1.025*0.693</f>
        <v>0.7103249999999999</v>
      </c>
      <c r="H15" s="10">
        <f>1.025*2.163</f>
        <v>2.2170749999999995</v>
      </c>
      <c r="I15" s="18">
        <f>1.025*2.271</f>
        <v>2.3277749999999995</v>
      </c>
      <c r="J15" s="18">
        <f t="shared" si="1"/>
        <v>0.374125</v>
      </c>
      <c r="K15" s="20">
        <f>1.025*0.236</f>
        <v>0.24189999999999998</v>
      </c>
      <c r="L15" s="14">
        <f>1.025*0.798</f>
        <v>0.81795</v>
      </c>
      <c r="M15" s="39" t="s">
        <v>20</v>
      </c>
      <c r="N15" s="40"/>
    </row>
    <row r="16" spans="1:14" ht="42.75" customHeight="1" thickBot="1">
      <c r="A16" s="7">
        <v>7</v>
      </c>
      <c r="B16" s="15" t="s">
        <v>27</v>
      </c>
      <c r="C16" s="9">
        <f t="shared" si="0"/>
        <v>9.803099999999997</v>
      </c>
      <c r="D16" s="10">
        <f>1.025*2.844</f>
        <v>2.9151</v>
      </c>
      <c r="E16" s="11">
        <f>1.025*0.971</f>
        <v>0.9952749999999999</v>
      </c>
      <c r="F16" s="16"/>
      <c r="G16" s="10">
        <f>1.025*0.598</f>
        <v>0.6129499999999999</v>
      </c>
      <c r="H16" s="10">
        <f>1.025*1.875</f>
        <v>1.9218749999999998</v>
      </c>
      <c r="I16" s="18">
        <f>1.025*2.025</f>
        <v>2.0756249999999996</v>
      </c>
      <c r="J16" s="18">
        <f t="shared" si="1"/>
        <v>0.374125</v>
      </c>
      <c r="K16" s="17">
        <f>1.025*0.198</f>
        <v>0.20295</v>
      </c>
      <c r="L16" s="14">
        <f>1.025*0.688</f>
        <v>0.7051999999999998</v>
      </c>
      <c r="M16" s="39" t="s">
        <v>20</v>
      </c>
      <c r="N16" s="40"/>
    </row>
    <row r="17" spans="1:14" ht="42.75" customHeight="1" thickBot="1">
      <c r="A17" s="7">
        <v>8</v>
      </c>
      <c r="B17" s="15" t="s">
        <v>28</v>
      </c>
      <c r="C17" s="9">
        <f t="shared" si="0"/>
        <v>11.765975</v>
      </c>
      <c r="D17" s="10">
        <f>1.025*3.596</f>
        <v>3.6858999999999997</v>
      </c>
      <c r="E17" s="11">
        <f>1.025*1.146</f>
        <v>1.1746499999999997</v>
      </c>
      <c r="F17" s="16"/>
      <c r="G17" s="10">
        <f>1.025*0.722</f>
        <v>0.7400499999999999</v>
      </c>
      <c r="H17" s="10">
        <f>1.025*2.249</f>
        <v>2.305225</v>
      </c>
      <c r="I17" s="18">
        <f>1.025*2.344</f>
        <v>2.4025999999999996</v>
      </c>
      <c r="J17" s="18">
        <f t="shared" si="1"/>
        <v>0.374125</v>
      </c>
      <c r="K17" s="18">
        <f>1.025*0.259</f>
        <v>0.26547499999999996</v>
      </c>
      <c r="L17" s="14">
        <f>1.025*0.798</f>
        <v>0.81795</v>
      </c>
      <c r="M17" s="39" t="s">
        <v>20</v>
      </c>
      <c r="N17" s="40"/>
    </row>
    <row r="18" spans="1:14" ht="42.75" customHeight="1" thickBot="1">
      <c r="A18" s="7">
        <v>9</v>
      </c>
      <c r="B18" s="8" t="s">
        <v>29</v>
      </c>
      <c r="C18" s="9">
        <f t="shared" si="0"/>
        <v>11.69525</v>
      </c>
      <c r="D18" s="10">
        <f>1.025*3.571</f>
        <v>3.660275</v>
      </c>
      <c r="E18" s="11">
        <f>1.025*1.139</f>
        <v>1.1674749999999998</v>
      </c>
      <c r="F18" s="16"/>
      <c r="G18" s="10">
        <f>1.025*0.716</f>
        <v>0.7338999999999999</v>
      </c>
      <c r="H18" s="10">
        <f>1.025*2.232</f>
        <v>2.2878</v>
      </c>
      <c r="I18" s="18">
        <f>1.025*2.33</f>
        <v>2.3882499999999998</v>
      </c>
      <c r="J18" s="18">
        <f t="shared" si="1"/>
        <v>0.374125</v>
      </c>
      <c r="K18" s="18">
        <f>1.025*0.259</f>
        <v>0.26547499999999996</v>
      </c>
      <c r="L18" s="14">
        <f>1.025*0.798</f>
        <v>0.81795</v>
      </c>
      <c r="M18" s="39" t="s">
        <v>20</v>
      </c>
      <c r="N18" s="40"/>
    </row>
    <row r="19" spans="1:14" ht="42.75" customHeight="1" thickBot="1">
      <c r="A19" s="7">
        <v>10</v>
      </c>
      <c r="B19" s="8" t="s">
        <v>30</v>
      </c>
      <c r="C19" s="9">
        <f t="shared" si="0"/>
        <v>22.776524999999996</v>
      </c>
      <c r="D19" s="10">
        <f>1.025*7.207</f>
        <v>7.387174999999999</v>
      </c>
      <c r="E19" s="11">
        <f>1.025*2.207</f>
        <v>2.2621749999999996</v>
      </c>
      <c r="F19" s="16"/>
      <c r="G19" s="10">
        <f>1.025*1.319</f>
        <v>1.351975</v>
      </c>
      <c r="H19" s="10">
        <f>1.025*4.529</f>
        <v>4.642225</v>
      </c>
      <c r="I19" s="18">
        <f>1.025*4.543</f>
        <v>4.656575</v>
      </c>
      <c r="J19" s="21">
        <f>1.025*0.647</f>
        <v>0.663175</v>
      </c>
      <c r="K19" s="20">
        <f>1.025*0.519</f>
        <v>0.531975</v>
      </c>
      <c r="L19" s="14">
        <f>1.025*1.25</f>
        <v>1.28125</v>
      </c>
      <c r="M19" s="39" t="s">
        <v>20</v>
      </c>
      <c r="N19" s="40"/>
    </row>
    <row r="20" spans="1:14" ht="42.75" customHeight="1" thickBot="1">
      <c r="A20" s="7">
        <v>11</v>
      </c>
      <c r="B20" s="22" t="s">
        <v>31</v>
      </c>
      <c r="C20" s="9">
        <f t="shared" si="0"/>
        <v>11.87155</v>
      </c>
      <c r="D20" s="9">
        <f>1.025*3.63</f>
        <v>3.72075</v>
      </c>
      <c r="E20" s="10">
        <f>1.025*1.156</f>
        <v>1.1848999999999998</v>
      </c>
      <c r="F20" s="13"/>
      <c r="G20" s="10">
        <f>1.025*0.729</f>
        <v>0.7472249999999999</v>
      </c>
      <c r="H20" s="10">
        <f>1.025*2.27</f>
        <v>2.3267499999999997</v>
      </c>
      <c r="I20" s="18">
        <f>1.025*2.362</f>
        <v>2.4210499999999997</v>
      </c>
      <c r="J20" s="10">
        <f>1.025*0.365</f>
        <v>0.374125</v>
      </c>
      <c r="K20" s="10">
        <f>1.025*0.272</f>
        <v>0.2788</v>
      </c>
      <c r="L20" s="14">
        <f>1.025*0.798</f>
        <v>0.81795</v>
      </c>
      <c r="M20" s="28" t="s">
        <v>20</v>
      </c>
      <c r="N20" s="29"/>
    </row>
    <row r="21" spans="1:14" ht="42.75" customHeight="1" thickBot="1">
      <c r="A21" s="7">
        <v>12</v>
      </c>
      <c r="B21" s="22" t="s">
        <v>32</v>
      </c>
      <c r="C21" s="9">
        <f t="shared" si="0"/>
        <v>10.109575</v>
      </c>
      <c r="D21" s="9">
        <f>1.025*2.946</f>
        <v>3.01965</v>
      </c>
      <c r="E21" s="10">
        <f>1.025*1.004</f>
        <v>1.0291</v>
      </c>
      <c r="F21" s="13"/>
      <c r="G21" s="10">
        <f>1.025*0.621</f>
        <v>0.6365249999999999</v>
      </c>
      <c r="H21" s="10">
        <f>1.025*1.944</f>
        <v>1.9925999999999997</v>
      </c>
      <c r="I21" s="18">
        <f>1.025*1.937</f>
        <v>1.9854249999999998</v>
      </c>
      <c r="J21" s="10">
        <f>1.025*0.365</f>
        <v>0.374125</v>
      </c>
      <c r="K21" s="10">
        <f>1.025*0.248</f>
        <v>0.2542</v>
      </c>
      <c r="L21" s="14">
        <f>1.025*0.798</f>
        <v>0.81795</v>
      </c>
      <c r="M21" s="28" t="s">
        <v>20</v>
      </c>
      <c r="N21" s="29"/>
    </row>
    <row r="22" spans="1:14" ht="42.75" customHeight="1" thickBot="1">
      <c r="A22" s="7">
        <v>13</v>
      </c>
      <c r="B22" s="22" t="s">
        <v>33</v>
      </c>
      <c r="C22" s="9">
        <f t="shared" si="0"/>
        <v>10.109575</v>
      </c>
      <c r="D22" s="9">
        <f>1.025*2.946</f>
        <v>3.01965</v>
      </c>
      <c r="E22" s="10">
        <f>1.025*1.004</f>
        <v>1.0291</v>
      </c>
      <c r="F22" s="13"/>
      <c r="G22" s="10">
        <f>1.025*0.621</f>
        <v>0.6365249999999999</v>
      </c>
      <c r="H22" s="10">
        <f>1.025*1.944</f>
        <v>1.9925999999999997</v>
      </c>
      <c r="I22" s="18">
        <f>1.025*1.937</f>
        <v>1.9854249999999998</v>
      </c>
      <c r="J22" s="10">
        <f>1.025*0.365</f>
        <v>0.374125</v>
      </c>
      <c r="K22" s="10">
        <f>1.025*0.248</f>
        <v>0.2542</v>
      </c>
      <c r="L22" s="14">
        <f>1.025*0.798</f>
        <v>0.81795</v>
      </c>
      <c r="M22" s="28" t="s">
        <v>20</v>
      </c>
      <c r="N22" s="29"/>
    </row>
    <row r="23" spans="1:14" ht="42.75" customHeight="1" thickBot="1">
      <c r="A23" s="7">
        <v>14</v>
      </c>
      <c r="B23" s="22" t="s">
        <v>34</v>
      </c>
      <c r="C23" s="9">
        <f t="shared" si="0"/>
        <v>9.92405</v>
      </c>
      <c r="D23" s="9">
        <f>1.025*3.21</f>
        <v>3.29025</v>
      </c>
      <c r="E23" s="10">
        <f>1.025*0.978</f>
        <v>1.0024499999999998</v>
      </c>
      <c r="F23" s="13"/>
      <c r="G23" s="10">
        <f>1.025*0.566</f>
        <v>0.5801499999999999</v>
      </c>
      <c r="H23" s="10">
        <f>1.025*1.898</f>
        <v>1.9454499999999997</v>
      </c>
      <c r="I23" s="18">
        <f>1.025*2.008</f>
        <v>2.0582</v>
      </c>
      <c r="J23" s="10">
        <f>1.025*0.201</f>
        <v>0.20602499999999999</v>
      </c>
      <c r="K23" s="10">
        <f>1.025*0.202</f>
        <v>0.20704999999999998</v>
      </c>
      <c r="L23" s="14">
        <f>1.025*0.619</f>
        <v>0.6344749999999999</v>
      </c>
      <c r="M23" s="28" t="s">
        <v>20</v>
      </c>
      <c r="N23" s="29"/>
    </row>
    <row r="24" spans="1:14" ht="42.75" customHeight="1" thickBot="1">
      <c r="A24" s="7">
        <v>15</v>
      </c>
      <c r="B24" s="22" t="s">
        <v>35</v>
      </c>
      <c r="C24" s="9">
        <f t="shared" si="0"/>
        <v>23.7595</v>
      </c>
      <c r="D24" s="9">
        <f>1.025*7.616</f>
        <v>7.806399999999999</v>
      </c>
      <c r="E24" s="10">
        <f>1.025*2.305</f>
        <v>2.362625</v>
      </c>
      <c r="F24" s="13"/>
      <c r="G24" s="10">
        <f>1.025*1.31</f>
        <v>1.3427499999999999</v>
      </c>
      <c r="H24" s="10">
        <f>1.025*4.713</f>
        <v>4.830825</v>
      </c>
      <c r="I24" s="18">
        <f>1.025*4.734</f>
        <v>4.8523499999999995</v>
      </c>
      <c r="J24" s="10">
        <f>1.025*0.575</f>
        <v>0.5893749999999999</v>
      </c>
      <c r="K24" s="10">
        <f>1.025*0.48</f>
        <v>0.49199999999999994</v>
      </c>
      <c r="L24" s="14">
        <f>1.025*1.447</f>
        <v>1.483175</v>
      </c>
      <c r="M24" s="28" t="s">
        <v>36</v>
      </c>
      <c r="N24" s="29"/>
    </row>
    <row r="25" spans="1:14" ht="42.75" customHeight="1" thickBot="1">
      <c r="A25" s="7">
        <v>16</v>
      </c>
      <c r="B25" s="22" t="s">
        <v>37</v>
      </c>
      <c r="C25" s="9">
        <f t="shared" si="0"/>
        <v>10.004</v>
      </c>
      <c r="D25" s="9">
        <f>1.025*3.237</f>
        <v>3.317925</v>
      </c>
      <c r="E25" s="10">
        <f>1.025*0.986</f>
        <v>1.0106499999999998</v>
      </c>
      <c r="F25" s="13"/>
      <c r="G25" s="10">
        <f>1.025*0.571</f>
        <v>0.5852749999999999</v>
      </c>
      <c r="H25" s="10">
        <f>1.025*1.915</f>
        <v>1.962875</v>
      </c>
      <c r="I25" s="18">
        <f>1.025*2.024</f>
        <v>2.0745999999999998</v>
      </c>
      <c r="J25" s="10">
        <f>1.025*0.204</f>
        <v>0.20909999999999998</v>
      </c>
      <c r="K25" s="10">
        <f>1.025*0.204</f>
        <v>0.20909999999999998</v>
      </c>
      <c r="L25" s="14">
        <f>1.025*0.619</f>
        <v>0.6344749999999999</v>
      </c>
      <c r="M25" s="28" t="s">
        <v>20</v>
      </c>
      <c r="N25" s="29"/>
    </row>
    <row r="26" spans="1:14" ht="42.75" customHeight="1" thickBot="1">
      <c r="A26" s="7">
        <v>17</v>
      </c>
      <c r="B26" s="22" t="s">
        <v>38</v>
      </c>
      <c r="C26" s="9">
        <f t="shared" si="0"/>
        <v>10.644625</v>
      </c>
      <c r="D26" s="9">
        <f>1.025*3.531</f>
        <v>3.619275</v>
      </c>
      <c r="E26" s="10">
        <f>1.025*1.04</f>
        <v>1.0659999999999998</v>
      </c>
      <c r="F26" s="13"/>
      <c r="G26" s="10">
        <f>1.025*0.607</f>
        <v>0.6221749999999999</v>
      </c>
      <c r="H26" s="10">
        <f>1.025*2.034</f>
        <v>2.0848499999999994</v>
      </c>
      <c r="I26" s="18">
        <f>1.025*2.135</f>
        <v>2.1883749999999997</v>
      </c>
      <c r="J26" s="10">
        <f>1.025*0.201</f>
        <v>0.20602499999999999</v>
      </c>
      <c r="K26" s="10">
        <f>1.025*0.218</f>
        <v>0.22344999999999998</v>
      </c>
      <c r="L26" s="14">
        <f>1.025*0.619</f>
        <v>0.6344749999999999</v>
      </c>
      <c r="M26" s="28" t="s">
        <v>20</v>
      </c>
      <c r="N26" s="29"/>
    </row>
    <row r="27" spans="1:14" ht="42.75" customHeight="1" thickBot="1">
      <c r="A27" s="7">
        <v>18</v>
      </c>
      <c r="B27" s="22" t="s">
        <v>39</v>
      </c>
      <c r="C27" s="9">
        <f t="shared" si="0"/>
        <v>23.4397</v>
      </c>
      <c r="D27" s="9">
        <f>1.025*7.369</f>
        <v>7.553224999999999</v>
      </c>
      <c r="E27" s="10">
        <f>1.025*2.297</f>
        <v>2.354425</v>
      </c>
      <c r="F27" s="13"/>
      <c r="G27" s="10">
        <f>1.025*1.304</f>
        <v>1.3366</v>
      </c>
      <c r="H27" s="10">
        <f>1.025*4.682</f>
        <v>4.79905</v>
      </c>
      <c r="I27" s="18">
        <f>1.025*4.718</f>
        <v>4.8359499999999995</v>
      </c>
      <c r="J27" s="10">
        <f>1.025*0.574</f>
        <v>0.5883499999999999</v>
      </c>
      <c r="K27" s="10">
        <f>1.025*0.477</f>
        <v>0.48892499999999994</v>
      </c>
      <c r="L27" s="14">
        <f>1.025*1.447</f>
        <v>1.483175</v>
      </c>
      <c r="M27" s="28" t="s">
        <v>20</v>
      </c>
      <c r="N27" s="29"/>
    </row>
    <row r="28" spans="1:14" ht="42.75" customHeight="1" thickBot="1">
      <c r="A28" s="7">
        <v>19</v>
      </c>
      <c r="B28" s="22" t="s">
        <v>40</v>
      </c>
      <c r="C28" s="9">
        <f t="shared" si="0"/>
        <v>24.551824999999997</v>
      </c>
      <c r="D28" s="9">
        <f>1.025*7.909</f>
        <v>8.106724999999999</v>
      </c>
      <c r="E28" s="10">
        <f>1.025*2.386</f>
        <v>2.44565</v>
      </c>
      <c r="F28" s="13"/>
      <c r="G28" s="10">
        <f>1.025*1.365</f>
        <v>1.399125</v>
      </c>
      <c r="H28" s="10">
        <f>1.025*4.893</f>
        <v>5.015324999999999</v>
      </c>
      <c r="I28" s="18">
        <f>1.025*4.899</f>
        <v>5.021475</v>
      </c>
      <c r="J28" s="10">
        <f>1.025*0.574</f>
        <v>0.5883499999999999</v>
      </c>
      <c r="K28" s="10">
        <f>1.025*0.48</f>
        <v>0.49199999999999994</v>
      </c>
      <c r="L28" s="14">
        <f>1.025*1.447</f>
        <v>1.483175</v>
      </c>
      <c r="M28" s="28" t="s">
        <v>20</v>
      </c>
      <c r="N28" s="29"/>
    </row>
    <row r="29" spans="1:14" ht="42.75" customHeight="1" thickBot="1">
      <c r="A29" s="7">
        <v>20</v>
      </c>
      <c r="B29" s="22" t="s">
        <v>41</v>
      </c>
      <c r="C29" s="9">
        <f t="shared" si="0"/>
        <v>23.727724999999996</v>
      </c>
      <c r="D29" s="9">
        <f>1.025*7.46</f>
        <v>7.6465</v>
      </c>
      <c r="E29" s="10">
        <f>1.025*2.323</f>
        <v>2.3810749999999996</v>
      </c>
      <c r="F29" s="13"/>
      <c r="G29" s="10">
        <f>1.025*1.322</f>
        <v>1.3550499999999999</v>
      </c>
      <c r="H29" s="10">
        <f>1.025*4.743</f>
        <v>4.861575</v>
      </c>
      <c r="I29" s="18">
        <f>1.025*4.771</f>
        <v>4.890274999999999</v>
      </c>
      <c r="J29" s="10">
        <f>1.025*0.574</f>
        <v>0.5883499999999999</v>
      </c>
      <c r="K29" s="10">
        <f>1.025*0.509</f>
        <v>0.521725</v>
      </c>
      <c r="L29" s="14">
        <f>1.025*1.447</f>
        <v>1.483175</v>
      </c>
      <c r="M29" s="28" t="s">
        <v>20</v>
      </c>
      <c r="N29" s="29"/>
    </row>
    <row r="30" spans="1:14" ht="42.75" customHeight="1" thickBot="1">
      <c r="A30" s="7">
        <v>21</v>
      </c>
      <c r="B30" s="22" t="s">
        <v>42</v>
      </c>
      <c r="C30" s="9">
        <f t="shared" si="0"/>
        <v>23.089149999999993</v>
      </c>
      <c r="D30" s="9">
        <f>1.025*7.278</f>
        <v>7.459949999999999</v>
      </c>
      <c r="E30" s="10">
        <f>1.025*2.271</f>
        <v>2.3277749999999995</v>
      </c>
      <c r="F30" s="13"/>
      <c r="G30" s="10">
        <f>1.025*1.287</f>
        <v>1.3191749999999998</v>
      </c>
      <c r="H30" s="10">
        <f>1.025*4.62</f>
        <v>4.7355</v>
      </c>
      <c r="I30" s="18">
        <f>1.025*4.665</f>
        <v>4.781625</v>
      </c>
      <c r="J30" s="10">
        <f>1.025*0.574</f>
        <v>0.5883499999999999</v>
      </c>
      <c r="K30" s="10">
        <f>1.025*0.384</f>
        <v>0.39359999999999995</v>
      </c>
      <c r="L30" s="14">
        <f>1.025*1.447</f>
        <v>1.483175</v>
      </c>
      <c r="M30" s="28" t="s">
        <v>20</v>
      </c>
      <c r="N30" s="29"/>
    </row>
    <row r="31" spans="1:14" ht="42.75" customHeight="1" thickBot="1">
      <c r="A31" s="7">
        <v>22</v>
      </c>
      <c r="B31" s="22" t="s">
        <v>43</v>
      </c>
      <c r="C31" s="9">
        <f t="shared" si="0"/>
        <v>24.463675</v>
      </c>
      <c r="D31" s="9">
        <f>1.025*7.572</f>
        <v>7.761299999999999</v>
      </c>
      <c r="E31" s="10">
        <f>1.025*2.355</f>
        <v>2.413875</v>
      </c>
      <c r="F31" s="13"/>
      <c r="G31" s="10">
        <f>1.025*1.384</f>
        <v>1.4185999999999999</v>
      </c>
      <c r="H31" s="10">
        <f>1.025*4.964</f>
        <v>5.0881</v>
      </c>
      <c r="I31" s="18">
        <f>1.025*4.981</f>
        <v>5.105524999999999</v>
      </c>
      <c r="J31" s="10">
        <f>1.025*0.591</f>
        <v>0.605775</v>
      </c>
      <c r="K31" s="10">
        <f>1.025*0.529</f>
        <v>0.542225</v>
      </c>
      <c r="L31" s="14">
        <f>1.025*1.491</f>
        <v>1.528275</v>
      </c>
      <c r="M31" s="28" t="s">
        <v>20</v>
      </c>
      <c r="N31" s="29"/>
    </row>
    <row r="32" spans="1:14" ht="42.75" customHeight="1" thickBot="1">
      <c r="A32" s="7">
        <v>23</v>
      </c>
      <c r="B32" s="22" t="s">
        <v>44</v>
      </c>
      <c r="C32" s="9">
        <f t="shared" si="0"/>
        <v>24.954649999999997</v>
      </c>
      <c r="D32" s="9">
        <f>1.025*8.051</f>
        <v>8.252275</v>
      </c>
      <c r="E32" s="10">
        <f>1.025*2.425</f>
        <v>2.4856249999999998</v>
      </c>
      <c r="F32" s="13"/>
      <c r="G32" s="10">
        <f>1.025*1.391</f>
        <v>1.4257749999999998</v>
      </c>
      <c r="H32" s="10">
        <f>1.025*4.986</f>
        <v>5.11065</v>
      </c>
      <c r="I32" s="18">
        <f>1.025*4.98</f>
        <v>5.1045</v>
      </c>
      <c r="J32" s="10">
        <f>1.025*0.574</f>
        <v>0.5883499999999999</v>
      </c>
      <c r="K32" s="10">
        <f>1.025*0.492</f>
        <v>0.5043</v>
      </c>
      <c r="L32" s="14">
        <f>1.025*1.447</f>
        <v>1.483175</v>
      </c>
      <c r="M32" s="28" t="s">
        <v>20</v>
      </c>
      <c r="N32" s="29"/>
    </row>
    <row r="33" spans="1:14" ht="42.75" customHeight="1" thickBot="1">
      <c r="A33" s="7">
        <v>24</v>
      </c>
      <c r="B33" s="22" t="s">
        <v>45</v>
      </c>
      <c r="C33" s="9">
        <f t="shared" si="0"/>
        <v>11.0003</v>
      </c>
      <c r="D33" s="9">
        <f>1.025*3.594</f>
        <v>3.6838499999999996</v>
      </c>
      <c r="E33" s="10">
        <f>1.025*1.027</f>
        <v>1.0526749999999998</v>
      </c>
      <c r="F33" s="13"/>
      <c r="G33" s="10">
        <f>1.025*0.601</f>
        <v>0.6160249999999999</v>
      </c>
      <c r="H33" s="10">
        <f>1.025*2.221</f>
        <v>2.276525</v>
      </c>
      <c r="I33" s="18">
        <f>1.025*2.217</f>
        <v>2.2724249999999997</v>
      </c>
      <c r="J33" s="10">
        <f>1.025*0.201</f>
        <v>0.20602499999999999</v>
      </c>
      <c r="K33" s="10">
        <f>1.025*0.252</f>
        <v>0.2583</v>
      </c>
      <c r="L33" s="14">
        <f>1.025*0.619</f>
        <v>0.6344749999999999</v>
      </c>
      <c r="M33" s="28" t="s">
        <v>36</v>
      </c>
      <c r="N33" s="29"/>
    </row>
    <row r="34" spans="1:14" ht="42.75" customHeight="1" thickBot="1">
      <c r="A34" s="7">
        <v>25</v>
      </c>
      <c r="B34" s="22" t="s">
        <v>46</v>
      </c>
      <c r="C34" s="9">
        <f t="shared" si="0"/>
        <v>64.672375</v>
      </c>
      <c r="D34" s="9">
        <f>1.025*20.898</f>
        <v>21.42045</v>
      </c>
      <c r="E34" s="10">
        <f>1.025*5.892</f>
        <v>6.0393</v>
      </c>
      <c r="F34" s="13"/>
      <c r="G34" s="10">
        <f>1.025*3.237</f>
        <v>3.317925</v>
      </c>
      <c r="H34" s="10">
        <f>1.025*11.44</f>
        <v>11.725999999999999</v>
      </c>
      <c r="I34" s="18">
        <f>1.025*13.534</f>
        <v>13.872349999999999</v>
      </c>
      <c r="J34" s="10">
        <f>1.025*1.919</f>
        <v>1.966975</v>
      </c>
      <c r="K34" s="10">
        <f>1.025*2.209</f>
        <v>2.2642249999999997</v>
      </c>
      <c r="L34" s="14">
        <f>1.025*3.966</f>
        <v>4.06515</v>
      </c>
      <c r="M34" s="28" t="s">
        <v>20</v>
      </c>
      <c r="N34" s="29"/>
    </row>
    <row r="35" spans="1:14" ht="42.75" customHeight="1" thickBot="1">
      <c r="A35" s="7">
        <v>26</v>
      </c>
      <c r="B35" s="22" t="s">
        <v>47</v>
      </c>
      <c r="C35" s="9">
        <f t="shared" si="0"/>
        <v>69.502175</v>
      </c>
      <c r="D35" s="9">
        <f>1.025*23.027</f>
        <v>23.602674999999998</v>
      </c>
      <c r="E35" s="10">
        <f>1.025*6.149</f>
        <v>6.302725</v>
      </c>
      <c r="F35" s="13"/>
      <c r="G35" s="10">
        <f>1.025*3.639</f>
        <v>3.7299749999999996</v>
      </c>
      <c r="H35" s="10">
        <f>1.025*12.192</f>
        <v>12.496799999999999</v>
      </c>
      <c r="I35" s="18">
        <f>1.025*14.386</f>
        <v>14.745649999999998</v>
      </c>
      <c r="J35" s="10">
        <f>1.025*2.014</f>
        <v>2.0643499999999997</v>
      </c>
      <c r="K35" s="10">
        <f>1.025*2.842</f>
        <v>2.9130499999999997</v>
      </c>
      <c r="L35" s="14">
        <f>1.025*3.558</f>
        <v>3.6469499999999995</v>
      </c>
      <c r="M35" s="28" t="s">
        <v>20</v>
      </c>
      <c r="N35" s="29"/>
    </row>
    <row r="36" spans="1:14" ht="42.75" customHeight="1" thickBot="1">
      <c r="A36" s="7">
        <v>27</v>
      </c>
      <c r="B36" s="22" t="s">
        <v>48</v>
      </c>
      <c r="C36" s="9">
        <f t="shared" si="0"/>
        <v>137.70362500000002</v>
      </c>
      <c r="D36" s="9">
        <f>1.025*45.394</f>
        <v>46.52884999999999</v>
      </c>
      <c r="E36" s="10">
        <f>1.025*12.411</f>
        <v>12.721274999999999</v>
      </c>
      <c r="F36" s="13"/>
      <c r="G36" s="10">
        <f>1.025*7.075</f>
        <v>7.251874999999999</v>
      </c>
      <c r="H36" s="10">
        <f>1.025*24.452</f>
        <v>25.063299999999998</v>
      </c>
      <c r="I36" s="18">
        <f>1.025*28.832</f>
        <v>29.552799999999998</v>
      </c>
      <c r="J36" s="10">
        <f>1.025*4.035</f>
        <v>4.1358749999999995</v>
      </c>
      <c r="K36" s="10">
        <f>1.025*4.596</f>
        <v>4.7109</v>
      </c>
      <c r="L36" s="14">
        <f>1.025*7.55</f>
        <v>7.73875</v>
      </c>
      <c r="M36" s="28" t="s">
        <v>36</v>
      </c>
      <c r="N36" s="29"/>
    </row>
    <row r="37" spans="1:14" ht="42.75" customHeight="1" thickBot="1">
      <c r="A37" s="7">
        <v>28</v>
      </c>
      <c r="B37" s="22" t="s">
        <v>49</v>
      </c>
      <c r="C37" s="9">
        <f t="shared" si="0"/>
        <v>57.608075</v>
      </c>
      <c r="D37" s="9">
        <f>1.025*20.924</f>
        <v>21.4471</v>
      </c>
      <c r="E37" s="10">
        <f>1.025*5.959</f>
        <v>6.107974999999999</v>
      </c>
      <c r="F37" s="13"/>
      <c r="G37" s="10">
        <f>1.025*2.456</f>
        <v>2.5174</v>
      </c>
      <c r="H37" s="10">
        <f>1.025*9.941</f>
        <v>10.189525</v>
      </c>
      <c r="I37" s="18">
        <f>1.025*10.518</f>
        <v>10.780949999999999</v>
      </c>
      <c r="J37" s="10">
        <f>1.025*0.95</f>
        <v>0.9737499999999999</v>
      </c>
      <c r="K37" s="10">
        <f>1.025*2.125</f>
        <v>2.1781249999999996</v>
      </c>
      <c r="L37" s="14">
        <f>1.025*3.33</f>
        <v>3.4132499999999997</v>
      </c>
      <c r="M37" s="28" t="s">
        <v>20</v>
      </c>
      <c r="N37" s="29"/>
    </row>
    <row r="38" spans="1:14" ht="42.75" customHeight="1" thickBot="1">
      <c r="A38" s="7">
        <v>29</v>
      </c>
      <c r="B38" s="22" t="s">
        <v>50</v>
      </c>
      <c r="C38" s="9">
        <f t="shared" si="0"/>
        <v>179.7317</v>
      </c>
      <c r="D38" s="9">
        <f>1.025*60.988</f>
        <v>62.512699999999995</v>
      </c>
      <c r="E38" s="10">
        <f>1.025*16.562</f>
        <v>16.97605</v>
      </c>
      <c r="F38" s="13"/>
      <c r="G38" s="10">
        <f>1.025*9.318</f>
        <v>9.550949999999998</v>
      </c>
      <c r="H38" s="10">
        <f>1.025*32.449</f>
        <v>33.260225</v>
      </c>
      <c r="I38" s="18">
        <f>1.025*37.923</f>
        <v>38.871075</v>
      </c>
      <c r="J38" s="10">
        <f>1.025*4.219</f>
        <v>4.324475</v>
      </c>
      <c r="K38" s="10">
        <f>1.025*5.396</f>
        <v>5.530899999999999</v>
      </c>
      <c r="L38" s="14">
        <f>1.025*8.493</f>
        <v>8.705325</v>
      </c>
      <c r="M38" s="28" t="s">
        <v>20</v>
      </c>
      <c r="N38" s="29"/>
    </row>
    <row r="39" spans="1:14" ht="42.75" customHeight="1" thickBot="1">
      <c r="A39" s="7">
        <v>30</v>
      </c>
      <c r="B39" s="22" t="s">
        <v>51</v>
      </c>
      <c r="C39" s="9">
        <f t="shared" si="0"/>
        <v>72.97795</v>
      </c>
      <c r="D39" s="9">
        <f>1.025*24.142</f>
        <v>24.745549999999998</v>
      </c>
      <c r="E39" s="10">
        <f>1.025*6.582</f>
        <v>6.746549999999999</v>
      </c>
      <c r="F39" s="13"/>
      <c r="G39" s="10">
        <f>1.025*3.63</f>
        <v>3.72075</v>
      </c>
      <c r="H39" s="10">
        <f>1.025*12.873</f>
        <v>13.194824999999998</v>
      </c>
      <c r="I39" s="18">
        <f>1.025*15.046</f>
        <v>15.422149999999998</v>
      </c>
      <c r="J39" s="10">
        <f>1.025*2.013</f>
        <v>2.063325</v>
      </c>
      <c r="K39" s="10">
        <f>1.025*2.681</f>
        <v>2.7480249999999997</v>
      </c>
      <c r="L39" s="14">
        <f>1.025*4.231</f>
        <v>4.336774999999999</v>
      </c>
      <c r="M39" s="28" t="s">
        <v>20</v>
      </c>
      <c r="N39" s="29"/>
    </row>
    <row r="40" spans="1:14" ht="42.75" customHeight="1" thickBot="1">
      <c r="A40" s="7">
        <v>31</v>
      </c>
      <c r="B40" s="22" t="s">
        <v>52</v>
      </c>
      <c r="C40" s="9">
        <f t="shared" si="0"/>
        <v>107.73159999999997</v>
      </c>
      <c r="D40" s="9">
        <f>1.025*34.906</f>
        <v>35.77865</v>
      </c>
      <c r="E40" s="10">
        <f>1.025*9.805</f>
        <v>10.050125</v>
      </c>
      <c r="F40" s="13"/>
      <c r="G40" s="10">
        <f>1.025*5.513</f>
        <v>5.650824999999999</v>
      </c>
      <c r="H40" s="10">
        <f>1.025*19.27</f>
        <v>19.751749999999998</v>
      </c>
      <c r="I40" s="18">
        <f>1.025*22.646</f>
        <v>23.212149999999998</v>
      </c>
      <c r="J40" s="10">
        <f>1.025*3.013</f>
        <v>3.0883249999999998</v>
      </c>
      <c r="K40" s="10">
        <f>1.025*3.849</f>
        <v>3.9452249999999998</v>
      </c>
      <c r="L40" s="14">
        <f>1.025*6.102</f>
        <v>6.25455</v>
      </c>
      <c r="M40" s="28" t="s">
        <v>20</v>
      </c>
      <c r="N40" s="29"/>
    </row>
    <row r="41" spans="1:14" ht="42.75" customHeight="1" thickBot="1">
      <c r="A41" s="7">
        <v>32</v>
      </c>
      <c r="B41" s="22" t="s">
        <v>53</v>
      </c>
      <c r="C41" s="9">
        <f t="shared" si="0"/>
        <v>74.463175</v>
      </c>
      <c r="D41" s="9">
        <f>1.025*24.764</f>
        <v>25.3831</v>
      </c>
      <c r="E41" s="10">
        <f>1.025*6.736</f>
        <v>6.904399999999999</v>
      </c>
      <c r="F41" s="13"/>
      <c r="G41" s="10">
        <f>1.025*3.73</f>
        <v>3.82325</v>
      </c>
      <c r="H41" s="10">
        <f>1.025*13.228</f>
        <v>13.558699999999998</v>
      </c>
      <c r="I41" s="18">
        <f>1.025*15.389</f>
        <v>15.773724999999997</v>
      </c>
      <c r="J41" s="10">
        <f>1.025*2.015</f>
        <v>2.065375</v>
      </c>
      <c r="K41" s="10">
        <f>1.025*2.554</f>
        <v>2.61785</v>
      </c>
      <c r="L41" s="14">
        <f>1.025*4.231</f>
        <v>4.336774999999999</v>
      </c>
      <c r="M41" s="28" t="s">
        <v>20</v>
      </c>
      <c r="N41" s="29"/>
    </row>
    <row r="42" spans="1:14" ht="42.75" customHeight="1" thickBot="1">
      <c r="A42" s="7">
        <v>33</v>
      </c>
      <c r="B42" s="22" t="s">
        <v>54</v>
      </c>
      <c r="C42" s="9">
        <f t="shared" si="0"/>
        <v>101.582625</v>
      </c>
      <c r="D42" s="9">
        <f>1.025*32.672</f>
        <v>33.48879999999999</v>
      </c>
      <c r="E42" s="10">
        <f>1.025*9.206</f>
        <v>9.436149999999998</v>
      </c>
      <c r="F42" s="13"/>
      <c r="G42" s="10">
        <f>1.025*5.146</f>
        <v>5.274649999999999</v>
      </c>
      <c r="H42" s="10">
        <f>1.025*17.994</f>
        <v>18.443849999999998</v>
      </c>
      <c r="I42" s="18">
        <f>1.025*21.294</f>
        <v>21.826349999999998</v>
      </c>
      <c r="J42" s="10">
        <f>1.025*3.023</f>
        <v>3.098575</v>
      </c>
      <c r="K42" s="10">
        <f>1.025*3.846</f>
        <v>3.94215</v>
      </c>
      <c r="L42" s="14">
        <f>1.025*5.924</f>
        <v>6.0721</v>
      </c>
      <c r="M42" s="28" t="s">
        <v>20</v>
      </c>
      <c r="N42" s="29"/>
    </row>
    <row r="43" spans="1:14" ht="42.75" customHeight="1" thickBot="1">
      <c r="A43" s="7">
        <v>34</v>
      </c>
      <c r="B43" s="22" t="s">
        <v>55</v>
      </c>
      <c r="C43" s="9">
        <f t="shared" si="0"/>
        <v>60.07934999999999</v>
      </c>
      <c r="D43" s="9">
        <f>1.025*20.709</f>
        <v>21.226725</v>
      </c>
      <c r="E43" s="10">
        <f>1.025*5.77</f>
        <v>5.914249999999999</v>
      </c>
      <c r="F43" s="13"/>
      <c r="G43" s="10">
        <f>1.025*2.856</f>
        <v>2.9273999999999996</v>
      </c>
      <c r="H43" s="10">
        <f>1.025*10.89</f>
        <v>11.16225</v>
      </c>
      <c r="I43" s="18">
        <f>1.025*11.876</f>
        <v>12.172899999999998</v>
      </c>
      <c r="J43" s="10">
        <f>1.025*1.037</f>
        <v>1.062925</v>
      </c>
      <c r="K43" s="10">
        <f>1.025*1.716</f>
        <v>1.7589</v>
      </c>
      <c r="L43" s="14">
        <f>1.025*3.76</f>
        <v>3.8539999999999996</v>
      </c>
      <c r="M43" s="28" t="s">
        <v>20</v>
      </c>
      <c r="N43" s="29"/>
    </row>
    <row r="44" spans="1:14" ht="42.75" customHeight="1" thickBot="1">
      <c r="A44" s="7">
        <v>35</v>
      </c>
      <c r="B44" s="22" t="s">
        <v>56</v>
      </c>
      <c r="C44" s="9">
        <f t="shared" si="0"/>
        <v>87.63749999999999</v>
      </c>
      <c r="D44" s="9">
        <f>1.025*29.269</f>
        <v>30.000724999999996</v>
      </c>
      <c r="E44" s="10">
        <f>1.025*7.838</f>
        <v>8.033949999999999</v>
      </c>
      <c r="F44" s="13"/>
      <c r="G44" s="10">
        <f>1.025*4.337</f>
        <v>4.445424999999999</v>
      </c>
      <c r="H44" s="10">
        <f>1.025*15.923</f>
        <v>16.321074999999997</v>
      </c>
      <c r="I44" s="18">
        <f>1.025*18.66</f>
        <v>19.1265</v>
      </c>
      <c r="J44" s="10">
        <f>1.025*2.11</f>
        <v>2.1627499999999995</v>
      </c>
      <c r="K44" s="10">
        <f>1.025*2.862</f>
        <v>2.93355</v>
      </c>
      <c r="L44" s="14">
        <f>1.025*4.501</f>
        <v>4.613525</v>
      </c>
      <c r="M44" s="28" t="s">
        <v>20</v>
      </c>
      <c r="N44" s="29"/>
    </row>
    <row r="45" spans="1:14" ht="42.75" customHeight="1" thickBot="1">
      <c r="A45" s="7">
        <v>36</v>
      </c>
      <c r="B45" s="22" t="s">
        <v>57</v>
      </c>
      <c r="C45" s="9">
        <f t="shared" si="0"/>
        <v>87.652875</v>
      </c>
      <c r="D45" s="9">
        <f>1.025*29.266</f>
        <v>29.997649999999997</v>
      </c>
      <c r="E45" s="10">
        <f>1.025*7.851</f>
        <v>8.047274999999999</v>
      </c>
      <c r="F45" s="13"/>
      <c r="G45" s="10">
        <f>1.025*4.333</f>
        <v>4.441325</v>
      </c>
      <c r="H45" s="10">
        <f>1.025*15.907</f>
        <v>16.304675</v>
      </c>
      <c r="I45" s="18">
        <f>1.025*18.643</f>
        <v>19.109075</v>
      </c>
      <c r="J45" s="10">
        <f>1.025*2.11</f>
        <v>2.1627499999999995</v>
      </c>
      <c r="K45" s="10">
        <f>1.025*2.87</f>
        <v>2.94175</v>
      </c>
      <c r="L45" s="14">
        <f>1.025*4.535</f>
        <v>4.648375</v>
      </c>
      <c r="M45" s="28" t="s">
        <v>20</v>
      </c>
      <c r="N45" s="29"/>
    </row>
    <row r="46" spans="1:14" ht="42.75" customHeight="1" thickBot="1">
      <c r="A46" s="7">
        <v>37</v>
      </c>
      <c r="B46" s="22" t="s">
        <v>58</v>
      </c>
      <c r="C46" s="9">
        <f t="shared" si="0"/>
        <v>80.174475</v>
      </c>
      <c r="D46" s="9">
        <f>1.025*26.586</f>
        <v>27.250649999999997</v>
      </c>
      <c r="E46" s="10">
        <f>1.025*7.411</f>
        <v>7.596274999999999</v>
      </c>
      <c r="F46" s="13"/>
      <c r="G46" s="10">
        <f>1.025*3.929</f>
        <v>4.027225</v>
      </c>
      <c r="H46" s="10">
        <f>1.025*14.363</f>
        <v>14.722074999999998</v>
      </c>
      <c r="I46" s="18">
        <f>1.025*16.489</f>
        <v>16.901225</v>
      </c>
      <c r="J46" s="10">
        <f>1.025*2.015</f>
        <v>2.065375</v>
      </c>
      <c r="K46" s="10">
        <f>1.025*2.588</f>
        <v>2.6527</v>
      </c>
      <c r="L46" s="14">
        <f>1.025*4.838</f>
        <v>4.95895</v>
      </c>
      <c r="M46" s="28" t="s">
        <v>20</v>
      </c>
      <c r="N46" s="29"/>
    </row>
    <row r="47" spans="1:14" ht="42.75" customHeight="1" thickBot="1">
      <c r="A47" s="7">
        <v>38</v>
      </c>
      <c r="B47" s="22" t="s">
        <v>59</v>
      </c>
      <c r="C47" s="9">
        <f t="shared" si="0"/>
        <v>80.174475</v>
      </c>
      <c r="D47" s="9">
        <f>1.025*26.586</f>
        <v>27.250649999999997</v>
      </c>
      <c r="E47" s="10">
        <f>1.025*7.411</f>
        <v>7.596274999999999</v>
      </c>
      <c r="F47" s="13"/>
      <c r="G47" s="10">
        <f>1.025*3.929</f>
        <v>4.027225</v>
      </c>
      <c r="H47" s="10">
        <f>1.025*14.363</f>
        <v>14.722074999999998</v>
      </c>
      <c r="I47" s="18">
        <f>1.025*16.489</f>
        <v>16.901225</v>
      </c>
      <c r="J47" s="10">
        <f>1.025*2.015</f>
        <v>2.065375</v>
      </c>
      <c r="K47" s="10">
        <f>1.025*2.588</f>
        <v>2.6527</v>
      </c>
      <c r="L47" s="14">
        <f>1.025*4.838</f>
        <v>4.95895</v>
      </c>
      <c r="M47" s="28" t="s">
        <v>20</v>
      </c>
      <c r="N47" s="29"/>
    </row>
    <row r="48" spans="1:14" ht="42.75" customHeight="1" thickBot="1">
      <c r="A48" s="7">
        <v>39</v>
      </c>
      <c r="B48" s="22" t="s">
        <v>60</v>
      </c>
      <c r="C48" s="9">
        <f t="shared" si="0"/>
        <v>77.00005000000002</v>
      </c>
      <c r="D48" s="9">
        <f>1.025*25.626</f>
        <v>26.26665</v>
      </c>
      <c r="E48" s="10">
        <f>1.025*6.964</f>
        <v>7.1381</v>
      </c>
      <c r="F48" s="13"/>
      <c r="G48" s="10">
        <f>1.025*3.758</f>
        <v>3.8519499999999995</v>
      </c>
      <c r="H48" s="10">
        <f>1.025*13.769</f>
        <v>14.113224999999998</v>
      </c>
      <c r="I48" s="18">
        <f>1.025*15.913</f>
        <v>16.310824999999998</v>
      </c>
      <c r="J48" s="10">
        <f>1.025*2.014</f>
        <v>2.0643499999999997</v>
      </c>
      <c r="K48" s="10">
        <f>1.025*2.611</f>
        <v>2.676275</v>
      </c>
      <c r="L48" s="14">
        <f>1.025*4.467</f>
        <v>4.578675</v>
      </c>
      <c r="M48" s="28" t="s">
        <v>20</v>
      </c>
      <c r="N48" s="29"/>
    </row>
    <row r="49" spans="1:14" ht="42.75" customHeight="1" thickBot="1">
      <c r="A49" s="7">
        <v>40</v>
      </c>
      <c r="B49" s="22" t="s">
        <v>61</v>
      </c>
      <c r="C49" s="9">
        <f t="shared" si="0"/>
        <v>98.813075</v>
      </c>
      <c r="D49" s="9">
        <f>1.025*31.828</f>
        <v>32.6237</v>
      </c>
      <c r="E49" s="10">
        <f>1.025*8.988</f>
        <v>9.212699999999998</v>
      </c>
      <c r="F49" s="13"/>
      <c r="G49" s="10">
        <f>1.025*5.003</f>
        <v>5.128075</v>
      </c>
      <c r="H49" s="10">
        <f>1.025*17.498</f>
        <v>17.93545</v>
      </c>
      <c r="I49" s="18">
        <f>1.025*20.813</f>
        <v>21.333325</v>
      </c>
      <c r="J49" s="10">
        <f>1.025*3.023</f>
        <v>3.098575</v>
      </c>
      <c r="K49" s="10">
        <f>1.025*3.326</f>
        <v>3.40915</v>
      </c>
      <c r="L49" s="14">
        <f>1.025*5.924</f>
        <v>6.0721</v>
      </c>
      <c r="M49" s="28" t="s">
        <v>20</v>
      </c>
      <c r="N49" s="29"/>
    </row>
    <row r="50" spans="1:14" ht="42.75" customHeight="1" thickBot="1">
      <c r="A50" s="7">
        <v>41</v>
      </c>
      <c r="B50" s="22" t="s">
        <v>62</v>
      </c>
      <c r="C50" s="9">
        <f t="shared" si="0"/>
        <v>68.52945</v>
      </c>
      <c r="D50" s="9">
        <f>1.025*22.133</f>
        <v>22.686324999999997</v>
      </c>
      <c r="E50" s="10">
        <f>1.025*6.326</f>
        <v>6.484149999999999</v>
      </c>
      <c r="F50" s="13"/>
      <c r="G50" s="10">
        <f>1.025*3.432</f>
        <v>3.5178</v>
      </c>
      <c r="H50" s="10">
        <f>1.025*12.125</f>
        <v>12.428125</v>
      </c>
      <c r="I50" s="18">
        <f>1.025*14.321</f>
        <v>14.679025</v>
      </c>
      <c r="J50" s="10">
        <f>1.025*2.014</f>
        <v>2.0643499999999997</v>
      </c>
      <c r="K50" s="10">
        <f>1.025*2.343</f>
        <v>2.401575</v>
      </c>
      <c r="L50" s="14">
        <f>1.025*4.164</f>
        <v>4.2681</v>
      </c>
      <c r="M50" s="28" t="s">
        <v>20</v>
      </c>
      <c r="N50" s="29"/>
    </row>
    <row r="51" spans="1:14" ht="42.75" customHeight="1" thickBot="1">
      <c r="A51" s="7">
        <v>42</v>
      </c>
      <c r="B51" s="22" t="s">
        <v>63</v>
      </c>
      <c r="C51" s="9">
        <f t="shared" si="0"/>
        <v>93.290375</v>
      </c>
      <c r="D51" s="9">
        <f>1.025*30.425</f>
        <v>31.185624999999998</v>
      </c>
      <c r="E51" s="10">
        <f>1.025*8.334</f>
        <v>8.542349999999999</v>
      </c>
      <c r="F51" s="13"/>
      <c r="G51" s="10">
        <f>1.025*4.721</f>
        <v>4.8390249999999995</v>
      </c>
      <c r="H51" s="10">
        <f>1.025*16.531</f>
        <v>16.944274999999998</v>
      </c>
      <c r="I51" s="18">
        <f>1.025*19.693</f>
        <v>20.185325</v>
      </c>
      <c r="J51" s="10">
        <f>1.025*2.878</f>
        <v>2.94995</v>
      </c>
      <c r="K51" s="10">
        <f>1.025*3.112</f>
        <v>3.1898</v>
      </c>
      <c r="L51" s="14">
        <f>1.025*5.321</f>
        <v>5.454025</v>
      </c>
      <c r="M51" s="28" t="s">
        <v>20</v>
      </c>
      <c r="N51" s="29"/>
    </row>
    <row r="52" spans="1:14" ht="42.75" customHeight="1" thickBot="1">
      <c r="A52" s="7">
        <v>43</v>
      </c>
      <c r="B52" s="22" t="s">
        <v>64</v>
      </c>
      <c r="C52" s="9">
        <f t="shared" si="0"/>
        <v>68.34494999999998</v>
      </c>
      <c r="D52" s="9">
        <f>1.025*21.017</f>
        <v>21.542424999999998</v>
      </c>
      <c r="E52" s="10">
        <f>1.025*6.128</f>
        <v>6.281199999999999</v>
      </c>
      <c r="F52" s="13"/>
      <c r="G52" s="10">
        <f>1.025*3.418</f>
        <v>3.50345</v>
      </c>
      <c r="H52" s="10">
        <f>1.025*11.934</f>
        <v>12.232349999999999</v>
      </c>
      <c r="I52" s="18">
        <f>1.025*14.784</f>
        <v>15.153599999999999</v>
      </c>
      <c r="J52" s="10">
        <f>1.025*2.9</f>
        <v>2.9724999999999997</v>
      </c>
      <c r="K52" s="10">
        <f>1.025*2.232</f>
        <v>2.2878</v>
      </c>
      <c r="L52" s="14">
        <f>1.025*4.265</f>
        <v>4.371624999999999</v>
      </c>
      <c r="M52" s="28" t="s">
        <v>20</v>
      </c>
      <c r="N52" s="29"/>
    </row>
    <row r="53" spans="1:14" ht="42.75" customHeight="1" thickBot="1">
      <c r="A53" s="7">
        <v>44</v>
      </c>
      <c r="B53" s="22" t="s">
        <v>65</v>
      </c>
      <c r="C53" s="9">
        <f t="shared" si="0"/>
        <v>69.50935</v>
      </c>
      <c r="D53" s="9">
        <f>1.025*23.17</f>
        <v>23.74925</v>
      </c>
      <c r="E53" s="10">
        <f>1.025*6.185</f>
        <v>6.339624999999999</v>
      </c>
      <c r="F53" s="13"/>
      <c r="G53" s="10">
        <f>1.025*3.663</f>
        <v>3.7545749999999996</v>
      </c>
      <c r="H53" s="10">
        <f>1.025*12.271</f>
        <v>12.577774999999999</v>
      </c>
      <c r="I53" s="18">
        <f>1.025*14.463</f>
        <v>14.824574999999998</v>
      </c>
      <c r="J53" s="10">
        <f>1.025*2.015</f>
        <v>2.065375</v>
      </c>
      <c r="K53" s="10">
        <f>1.025*2.489</f>
        <v>2.5512249999999996</v>
      </c>
      <c r="L53" s="14">
        <f>1.025*3.558</f>
        <v>3.6469499999999995</v>
      </c>
      <c r="M53" s="28" t="s">
        <v>20</v>
      </c>
      <c r="N53" s="29"/>
    </row>
    <row r="54" spans="1:14" ht="42.75" customHeight="1" thickBot="1">
      <c r="A54" s="7">
        <v>45</v>
      </c>
      <c r="B54" s="22" t="s">
        <v>66</v>
      </c>
      <c r="C54" s="9">
        <f t="shared" si="0"/>
        <v>98.659325</v>
      </c>
      <c r="D54" s="9">
        <f>1.025*31.766</f>
        <v>32.56014999999999</v>
      </c>
      <c r="E54" s="10">
        <f>1.025*8.993</f>
        <v>9.217825</v>
      </c>
      <c r="F54" s="13"/>
      <c r="G54" s="10">
        <f>1.025*4.993</f>
        <v>5.117825</v>
      </c>
      <c r="H54" s="10">
        <f>1.025*17.462</f>
        <v>17.898549999999997</v>
      </c>
      <c r="I54" s="18">
        <f>1.025*20.778</f>
        <v>21.297449999999998</v>
      </c>
      <c r="J54" s="10">
        <f>1.025*3.023</f>
        <v>3.098575</v>
      </c>
      <c r="K54" s="10">
        <f>1.025*3.314</f>
        <v>3.3968499999999997</v>
      </c>
      <c r="L54" s="14">
        <f>1.025*5.924</f>
        <v>6.0721</v>
      </c>
      <c r="M54" s="28" t="s">
        <v>20</v>
      </c>
      <c r="N54" s="29"/>
    </row>
    <row r="55" spans="1:14" ht="42.75" customHeight="1" thickBot="1">
      <c r="A55" s="7">
        <v>46</v>
      </c>
      <c r="B55" s="22" t="s">
        <v>67</v>
      </c>
      <c r="C55" s="9">
        <f t="shared" si="0"/>
        <v>61.250925</v>
      </c>
      <c r="D55" s="9">
        <f>1.025*20.408</f>
        <v>20.9182</v>
      </c>
      <c r="E55" s="10">
        <f>1.025*5.495</f>
        <v>5.632375</v>
      </c>
      <c r="F55" s="13"/>
      <c r="G55" s="10">
        <f>1.025*3.204</f>
        <v>3.2841</v>
      </c>
      <c r="H55" s="10">
        <f>1.025*10.742</f>
        <v>11.01055</v>
      </c>
      <c r="I55" s="18">
        <f>1.025*12.982</f>
        <v>13.306549999999998</v>
      </c>
      <c r="J55" s="10">
        <f>1.025*2.015</f>
        <v>2.065375</v>
      </c>
      <c r="K55" s="10">
        <f>1.025*1.353</f>
        <v>1.3868249999999998</v>
      </c>
      <c r="L55" s="14">
        <f>1.025*3.558</f>
        <v>3.6469499999999995</v>
      </c>
      <c r="M55" s="28" t="s">
        <v>20</v>
      </c>
      <c r="N55" s="29"/>
    </row>
    <row r="56" spans="1:14" ht="42.75" customHeight="1" thickBot="1">
      <c r="A56" s="7">
        <v>47</v>
      </c>
      <c r="B56" s="22" t="s">
        <v>68</v>
      </c>
      <c r="C56" s="9">
        <f t="shared" si="0"/>
        <v>199.83194999999995</v>
      </c>
      <c r="D56" s="9">
        <f>1.025*67.793</f>
        <v>69.487825</v>
      </c>
      <c r="E56" s="10">
        <f>1.025*17.455</f>
        <v>17.891374999999996</v>
      </c>
      <c r="F56" s="13"/>
      <c r="G56" s="10">
        <f>1.025*9.815</f>
        <v>10.060374999999999</v>
      </c>
      <c r="H56" s="17">
        <f>1.025*35.804</f>
        <v>36.6991</v>
      </c>
      <c r="I56" s="18">
        <f>1.025*42.648</f>
        <v>43.7142</v>
      </c>
      <c r="J56" s="17">
        <f>1.025*5.274</f>
        <v>5.405849999999999</v>
      </c>
      <c r="K56" s="17">
        <f>1.025*6.219</f>
        <v>6.3744749999999994</v>
      </c>
      <c r="L56" s="23">
        <f>1.025*9.95</f>
        <v>10.198749999999999</v>
      </c>
      <c r="M56" s="28" t="s">
        <v>20</v>
      </c>
      <c r="N56" s="29"/>
    </row>
    <row r="57" spans="1:14" ht="15.75" thickBot="1">
      <c r="A57" s="30"/>
      <c r="B57" s="31"/>
      <c r="C57" s="24"/>
      <c r="D57" s="24"/>
      <c r="E57" s="25"/>
      <c r="F57" s="25"/>
      <c r="G57" s="26"/>
      <c r="H57" s="32"/>
      <c r="I57" s="33"/>
      <c r="J57" s="33"/>
      <c r="K57" s="33"/>
      <c r="L57" s="34"/>
      <c r="M57" s="35"/>
      <c r="N57" s="36"/>
    </row>
    <row r="58" spans="1:14" ht="15.75" thickBot="1">
      <c r="A58" s="37" t="s">
        <v>69</v>
      </c>
      <c r="B58" s="38"/>
      <c r="C58" s="27">
        <f>SUM(C10:C56)</f>
        <v>2479.992625</v>
      </c>
      <c r="D58" s="27">
        <f aca="true" t="shared" si="2" ref="D58:L58">SUM(D10:D56)</f>
        <v>834.9660249999997</v>
      </c>
      <c r="E58" s="27">
        <f t="shared" si="2"/>
        <v>233.52369999999996</v>
      </c>
      <c r="F58" s="27">
        <f t="shared" si="2"/>
        <v>0</v>
      </c>
      <c r="G58" s="27">
        <f t="shared" si="2"/>
        <v>129.3099</v>
      </c>
      <c r="H58" s="27">
        <f t="shared" si="2"/>
        <v>460.373625</v>
      </c>
      <c r="I58" s="27">
        <f t="shared" si="2"/>
        <v>527.8832000000001</v>
      </c>
      <c r="J58" s="27">
        <f t="shared" si="2"/>
        <v>69.77175</v>
      </c>
      <c r="K58" s="27">
        <f t="shared" si="2"/>
        <v>79.36164999999998</v>
      </c>
      <c r="L58" s="27">
        <f t="shared" si="2"/>
        <v>144.802775</v>
      </c>
      <c r="M58" s="35"/>
      <c r="N58" s="36"/>
    </row>
  </sheetData>
  <sheetProtection/>
  <mergeCells count="71">
    <mergeCell ref="A1:N1"/>
    <mergeCell ref="A2:N2"/>
    <mergeCell ref="A3:A8"/>
    <mergeCell ref="B3:B8"/>
    <mergeCell ref="C3:C7"/>
    <mergeCell ref="D3:M3"/>
    <mergeCell ref="D4:G4"/>
    <mergeCell ref="H4:L4"/>
    <mergeCell ref="M4:N8"/>
    <mergeCell ref="D5:D7"/>
    <mergeCell ref="M12:N12"/>
    <mergeCell ref="E5:E7"/>
    <mergeCell ref="F5:F7"/>
    <mergeCell ref="G5:G7"/>
    <mergeCell ref="H5:H7"/>
    <mergeCell ref="I5:I7"/>
    <mergeCell ref="J5:J7"/>
    <mergeCell ref="K5:K7"/>
    <mergeCell ref="L5:L7"/>
    <mergeCell ref="M9:N9"/>
    <mergeCell ref="M10:N10"/>
    <mergeCell ref="M11:N11"/>
    <mergeCell ref="M24:N24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36:N36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48:N48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58:B58"/>
    <mergeCell ref="M58:N58"/>
    <mergeCell ref="M49:N49"/>
    <mergeCell ref="M50:N50"/>
    <mergeCell ref="M51:N51"/>
    <mergeCell ref="M52:N52"/>
    <mergeCell ref="M53:N53"/>
    <mergeCell ref="M54:N54"/>
    <mergeCell ref="M55:N55"/>
    <mergeCell ref="M56:N56"/>
    <mergeCell ref="A57:B57"/>
    <mergeCell ref="H57:L57"/>
    <mergeCell ref="M57:N5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2013-03-25T03:18:04Z</dcterms:modified>
  <cp:category/>
  <cp:version/>
  <cp:contentType/>
  <cp:contentStatus/>
</cp:coreProperties>
</file>